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26920" yWindow="-12020" windowWidth="26440" windowHeight="1492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U7" i="1" l="1"/>
  <c r="W5" i="1"/>
  <c r="W4" i="1"/>
  <c r="W7" i="1"/>
  <c r="H8" i="1"/>
  <c r="I8" i="1"/>
  <c r="J8" i="1"/>
  <c r="U5" i="1"/>
  <c r="U4" i="1"/>
  <c r="B6" i="1"/>
  <c r="J12" i="1"/>
  <c r="I12" i="1"/>
  <c r="H12" i="1"/>
  <c r="F8" i="1"/>
  <c r="F12" i="1"/>
  <c r="G8" i="1"/>
  <c r="G12" i="1"/>
  <c r="Q8" i="1"/>
  <c r="P8" i="1"/>
  <c r="O8" i="1"/>
  <c r="N8" i="1"/>
  <c r="M8" i="1"/>
  <c r="L8" i="1"/>
  <c r="K8" i="1"/>
  <c r="T10" i="1"/>
  <c r="G10" i="1"/>
  <c r="H10" i="1"/>
  <c r="I10" i="1"/>
  <c r="J10" i="1"/>
  <c r="U10" i="1"/>
  <c r="B10" i="1"/>
  <c r="V10" i="1"/>
  <c r="T7" i="1"/>
  <c r="S10" i="1"/>
  <c r="S7" i="1"/>
  <c r="V6" i="1"/>
  <c r="V5" i="1"/>
  <c r="V4" i="1"/>
  <c r="U6" i="1"/>
  <c r="Q6" i="1"/>
  <c r="Q5" i="1"/>
  <c r="T5" i="1"/>
  <c r="T4" i="1"/>
  <c r="T6" i="1"/>
  <c r="S5" i="1"/>
  <c r="S4" i="1"/>
  <c r="S6" i="1"/>
  <c r="C6" i="1"/>
  <c r="H6" i="1"/>
  <c r="I6" i="1"/>
  <c r="J6" i="1"/>
  <c r="M6" i="1"/>
  <c r="N6" i="1"/>
  <c r="P6" i="1"/>
  <c r="O6" i="1"/>
  <c r="K6" i="1"/>
  <c r="L6" i="1"/>
</calcChain>
</file>

<file path=xl/sharedStrings.xml><?xml version="1.0" encoding="utf-8"?>
<sst xmlns="http://schemas.openxmlformats.org/spreadsheetml/2006/main" count="85" uniqueCount="78">
  <si>
    <t>Fuel Type</t>
  </si>
  <si>
    <t>Most Money Goes To…</t>
  </si>
  <si>
    <t>MISO Market</t>
  </si>
  <si>
    <t>Columbia Energy Center</t>
  </si>
  <si>
    <t>Columbia Landfill Gas</t>
  </si>
  <si>
    <t>mostly coal</t>
  </si>
  <si>
    <t>coal</t>
  </si>
  <si>
    <t>wind</t>
  </si>
  <si>
    <t>Free Power Company</t>
  </si>
  <si>
    <t>solar</t>
  </si>
  <si>
    <t xml:space="preserve">Sikeston </t>
  </si>
  <si>
    <t xml:space="preserve">Prairie St. </t>
  </si>
  <si>
    <t>Iatan II</t>
  </si>
  <si>
    <t xml:space="preserve">Crystal Lake </t>
  </si>
  <si>
    <t xml:space="preserve">Bluegrass Ridge </t>
  </si>
  <si>
    <t>Description</t>
  </si>
  <si>
    <t>Landfill Gas from Jeff City, purchased by contract</t>
  </si>
  <si>
    <t>Our natural gas power plant near the landfill (aka CEC)</t>
  </si>
  <si>
    <t>Contract with coal-fired power plant in SE MO</t>
  </si>
  <si>
    <t>Contract with coal-fired power plant in IL</t>
  </si>
  <si>
    <t>Contract with coal-fired power plant in KC area</t>
  </si>
  <si>
    <t>KCP&amp;L</t>
  </si>
  <si>
    <t>Notes</t>
  </si>
  <si>
    <t>Contract with wind power plant in IA</t>
  </si>
  <si>
    <t>Contract with wind power plant in NW MO</t>
  </si>
  <si>
    <t>NextEra Energy</t>
  </si>
  <si>
    <t>Ameresco</t>
  </si>
  <si>
    <t>Jeff City Landfill Gas</t>
  </si>
  <si>
    <t>Capacity Credit, MW</t>
  </si>
  <si>
    <t>local staff; outside vendors</t>
  </si>
  <si>
    <t>City of Sikeston</t>
  </si>
  <si>
    <t>Solar One</t>
  </si>
  <si>
    <t>Energy and capacity from the grid purchased through the MISO market</t>
  </si>
  <si>
    <t>natural gas</t>
  </si>
  <si>
    <t>landfill gas</t>
  </si>
  <si>
    <t xml:space="preserve">CWL-owned and operated LF gas generators </t>
  </si>
  <si>
    <t>Associated Electric</t>
  </si>
  <si>
    <t>Net Metered Solar</t>
  </si>
  <si>
    <t>Contract for solar power from FPC's panels on CWL property</t>
  </si>
  <si>
    <t>N/A</t>
  </si>
  <si>
    <t>customer-owned and sited solar</t>
  </si>
  <si>
    <t>biomass</t>
  </si>
  <si>
    <t>CWL Business Loop Power Plant</t>
  </si>
  <si>
    <t>CWL-owned and operated multi-fuel power plant on the Business Loop</t>
  </si>
  <si>
    <t>Total Expenditures*</t>
  </si>
  <si>
    <t>Coal</t>
  </si>
  <si>
    <t>Natural Gas</t>
  </si>
  <si>
    <t>2014 Energy Portfolio</t>
  </si>
  <si>
    <t>coal (IL)</t>
  </si>
  <si>
    <t>coal (WY)</t>
  </si>
  <si>
    <t>Energy Supplied, MWh/yr</t>
  </si>
  <si>
    <t>All-In Cost, $/MWh</t>
  </si>
  <si>
    <t>PV systems on Quaker Oats, Brt. City Lghts, W. Ash pump stn.</t>
  </si>
  <si>
    <t>*Includes: Energy, capacity, transmission, solar rebates, any other related expenses</t>
  </si>
  <si>
    <t>buying fuel (WY coal?); local staff; outside vendors</t>
  </si>
  <si>
    <t>bondholders; local staff; vendors</t>
  </si>
  <si>
    <t>local PV system owners</t>
  </si>
  <si>
    <t>Data is from the 2014 Renewable Energy Report and various CWL documents</t>
  </si>
  <si>
    <t>TOTAL OVERALL PORTFOLIO</t>
  </si>
  <si>
    <t>MISO Market Energy</t>
  </si>
  <si>
    <t>RENEWABLE Energy</t>
  </si>
  <si>
    <t>total</t>
  </si>
  <si>
    <t>CO2 emissions, tons</t>
  </si>
  <si>
    <t>Cost Premium (vs MISO purch.)</t>
  </si>
  <si>
    <t>Prairie State Generating Co.</t>
  </si>
  <si>
    <t>CEC is primarily a capacity resource that allows us to use inexpensive market energy and intermittent renewable energy</t>
  </si>
  <si>
    <t>Yellow cells indicate an energy resource with significant capacity</t>
  </si>
  <si>
    <t>Green cells indicate a renewable energy resource</t>
  </si>
  <si>
    <t>see below</t>
  </si>
  <si>
    <t>This spreadsheet attempts to clarify and compare the assets in our energy portfolio.  It does not capture the full complexities of modern utilities with regard to operations, compliance, risk, energy, capacity, dispatchability, etc.</t>
  </si>
  <si>
    <t>Cap. Market Value $/year</t>
  </si>
  <si>
    <t>NON-RENEWABLE Energy Contracts</t>
  </si>
  <si>
    <t>includes three coal contracts; excludes CWL Bus. Loop power plant and CEC</t>
  </si>
  <si>
    <t>CWL Power Plant and CEC</t>
  </si>
  <si>
    <t>CO2 emissions, lbs per MWh***</t>
  </si>
  <si>
    <t>***http://www.epa.gov/cleanenergy/energy-and-you/affect/air-emissions.html</t>
  </si>
  <si>
    <t>Capacity Fees, $/kW/month**</t>
  </si>
  <si>
    <t>** Amount in 'MISO Market'  column is the latest auction price of MISO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</si>
</sst>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quot;$&quot;#,##0.00"/>
    <numFmt numFmtId="168" formatCode="&quot;$&quot;#,##0.000"/>
  </numFmts>
  <fonts count="17"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9"/>
      <color theme="1"/>
      <name val="Calibri"/>
      <scheme val="minor"/>
    </font>
    <font>
      <sz val="11"/>
      <color theme="1"/>
      <name val="Calibri"/>
      <scheme val="minor"/>
    </font>
    <font>
      <sz val="12"/>
      <color rgb="FF006100"/>
      <name val="Calibri"/>
      <family val="2"/>
      <scheme val="minor"/>
    </font>
    <font>
      <sz val="10"/>
      <color theme="1"/>
      <name val="Calibri"/>
      <scheme val="minor"/>
    </font>
    <font>
      <sz val="12"/>
      <color rgb="FF000000"/>
      <name val="Calibri"/>
      <family val="2"/>
      <scheme val="minor"/>
    </font>
    <font>
      <sz val="8"/>
      <name val="Calibri"/>
      <family val="2"/>
      <scheme val="minor"/>
    </font>
    <font>
      <b/>
      <sz val="16"/>
      <color theme="1"/>
      <name val="Calibri"/>
      <scheme val="minor"/>
    </font>
    <font>
      <b/>
      <sz val="12"/>
      <color theme="1"/>
      <name val="Calibri"/>
      <family val="2"/>
      <scheme val="minor"/>
    </font>
    <font>
      <b/>
      <sz val="14"/>
      <color theme="1"/>
      <name val="Calibri"/>
      <scheme val="minor"/>
    </font>
    <font>
      <i/>
      <sz val="12"/>
      <color theme="1"/>
      <name val="Calibri"/>
      <scheme val="minor"/>
    </font>
    <font>
      <i/>
      <sz val="12"/>
      <color rgb="FF006100"/>
      <name val="Calibri"/>
      <scheme val="minor"/>
    </font>
    <font>
      <sz val="12"/>
      <color rgb="FF9C6500"/>
      <name val="Calibri"/>
      <family val="2"/>
      <scheme val="minor"/>
    </font>
    <font>
      <sz val="7"/>
      <color theme="1"/>
      <name val="Calibri"/>
      <scheme val="minor"/>
    </font>
  </fonts>
  <fills count="5">
    <fill>
      <patternFill patternType="none"/>
    </fill>
    <fill>
      <patternFill patternType="gray125"/>
    </fill>
    <fill>
      <patternFill patternType="solid">
        <fgColor rgb="FFC6EFCE"/>
      </patternFill>
    </fill>
    <fill>
      <patternFill patternType="solid">
        <fgColor theme="2"/>
        <bgColor indexed="64"/>
      </patternFill>
    </fill>
    <fill>
      <patternFill patternType="solid">
        <fgColor rgb="FFFFEB9C"/>
      </patternFill>
    </fill>
  </fills>
  <borders count="1">
    <border>
      <left/>
      <right/>
      <top/>
      <bottom/>
      <diagonal/>
    </border>
  </borders>
  <cellStyleXfs count="21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2"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5" fillId="4"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2">
    <xf numFmtId="0" fontId="0" fillId="0" borderId="0" xfId="0"/>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xf>
    <xf numFmtId="164" fontId="0" fillId="0" borderId="0" xfId="1" applyNumberFormat="1" applyFont="1"/>
    <xf numFmtId="0" fontId="4"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Alignment="1">
      <alignment horizontal="center" vertical="center"/>
    </xf>
    <xf numFmtId="0" fontId="5" fillId="0" borderId="0" xfId="0" applyFont="1" applyAlignment="1">
      <alignment horizontal="center" vertical="center" wrapText="1"/>
    </xf>
    <xf numFmtId="164" fontId="0" fillId="0" borderId="0" xfId="1" applyNumberFormat="1" applyFont="1" applyAlignment="1">
      <alignment horizontal="center"/>
    </xf>
    <xf numFmtId="0" fontId="7" fillId="0" borderId="0" xfId="0" applyFont="1" applyAlignment="1">
      <alignment horizontal="center" vertical="center" wrapText="1"/>
    </xf>
    <xf numFmtId="0" fontId="6" fillId="2" borderId="0" xfId="11" applyAlignment="1">
      <alignment horizontal="center"/>
    </xf>
    <xf numFmtId="165" fontId="0" fillId="0" borderId="0" xfId="2" applyNumberFormat="1" applyFont="1"/>
    <xf numFmtId="165" fontId="0" fillId="0" borderId="0" xfId="2" applyNumberFormat="1" applyFont="1" applyAlignment="1">
      <alignment horizontal="center"/>
    </xf>
    <xf numFmtId="0" fontId="10" fillId="0" borderId="0" xfId="0" applyFont="1" applyAlignment="1">
      <alignment horizontal="center" vertical="center" wrapText="1"/>
    </xf>
    <xf numFmtId="166" fontId="0" fillId="0" borderId="0" xfId="2" applyNumberFormat="1" applyFont="1" applyAlignment="1">
      <alignment horizontal="center"/>
    </xf>
    <xf numFmtId="166" fontId="8" fillId="0" borderId="0" xfId="0" applyNumberFormat="1" applyFont="1" applyAlignment="1">
      <alignment horizontal="center"/>
    </xf>
    <xf numFmtId="0" fontId="0" fillId="3" borderId="0" xfId="0" applyFill="1"/>
    <xf numFmtId="0" fontId="0" fillId="0" borderId="0" xfId="0" applyAlignment="1"/>
    <xf numFmtId="165" fontId="0" fillId="0" borderId="0" xfId="2" applyNumberFormat="1" applyFont="1" applyAlignment="1"/>
    <xf numFmtId="165" fontId="5" fillId="0" borderId="0" xfId="2" applyNumberFormat="1" applyFont="1" applyAlignment="1">
      <alignment horizontal="center" vertical="center" wrapText="1"/>
    </xf>
    <xf numFmtId="0" fontId="11" fillId="0" borderId="0" xfId="0" applyFont="1" applyAlignment="1">
      <alignment horizontal="center" vertical="center" wrapText="1"/>
    </xf>
    <xf numFmtId="164" fontId="11" fillId="0" borderId="0" xfId="0" applyNumberFormat="1" applyFont="1"/>
    <xf numFmtId="166" fontId="11" fillId="0" borderId="0" xfId="2" applyNumberFormat="1" applyFont="1"/>
    <xf numFmtId="166" fontId="11" fillId="0" borderId="0" xfId="0" applyNumberFormat="1" applyFont="1"/>
    <xf numFmtId="165" fontId="11" fillId="0" borderId="0" xfId="0" applyNumberFormat="1" applyFont="1"/>
    <xf numFmtId="0" fontId="12" fillId="0" borderId="0" xfId="0" applyFont="1" applyAlignment="1">
      <alignment horizontal="center" vertical="center" wrapText="1"/>
    </xf>
    <xf numFmtId="0" fontId="12" fillId="0" borderId="0" xfId="0" applyFont="1"/>
    <xf numFmtId="164" fontId="12" fillId="0" borderId="0" xfId="0" applyNumberFormat="1" applyFont="1"/>
    <xf numFmtId="166" fontId="12" fillId="0" borderId="0" xfId="2" applyNumberFormat="1" applyFont="1"/>
    <xf numFmtId="0" fontId="13" fillId="0" borderId="0" xfId="0" applyFont="1" applyAlignment="1">
      <alignment horizontal="center"/>
    </xf>
    <xf numFmtId="0" fontId="14" fillId="2" borderId="0" xfId="11" applyFont="1" applyAlignment="1">
      <alignment horizontal="center"/>
    </xf>
    <xf numFmtId="164" fontId="0" fillId="0" borderId="0" xfId="0" applyNumberFormat="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164" fontId="12" fillId="0" borderId="0" xfId="1" applyNumberFormat="1" applyFont="1"/>
    <xf numFmtId="1" fontId="11" fillId="0" borderId="0" xfId="0" applyNumberFormat="1" applyFont="1"/>
    <xf numFmtId="0" fontId="15" fillId="4" borderId="0" xfId="142"/>
    <xf numFmtId="0" fontId="15" fillId="4" borderId="0" xfId="142" applyAlignment="1">
      <alignment horizontal="center"/>
    </xf>
    <xf numFmtId="44" fontId="0" fillId="0" borderId="0" xfId="2" applyFont="1" applyAlignment="1">
      <alignment horizontal="center"/>
    </xf>
    <xf numFmtId="167" fontId="0" fillId="0" borderId="0" xfId="2" applyNumberFormat="1" applyFont="1"/>
    <xf numFmtId="166" fontId="0" fillId="0" borderId="0" xfId="0" applyNumberFormat="1"/>
    <xf numFmtId="168" fontId="0" fillId="0" borderId="0" xfId="0" applyNumberFormat="1" applyFont="1" applyAlignment="1">
      <alignment horizontal="right" wrapText="1"/>
    </xf>
    <xf numFmtId="0" fontId="11" fillId="0" borderId="0" xfId="0" applyFont="1"/>
    <xf numFmtId="164" fontId="11" fillId="0" borderId="0" xfId="1" applyNumberFormat="1" applyFont="1"/>
    <xf numFmtId="0" fontId="0" fillId="0" borderId="0" xfId="0" applyAlignment="1">
      <alignment horizontal="center" vertical="center"/>
    </xf>
    <xf numFmtId="0" fontId="4" fillId="0" borderId="0" xfId="0" applyFont="1" applyAlignment="1">
      <alignment horizontal="center" vertical="center" wrapText="1"/>
    </xf>
    <xf numFmtId="6" fontId="0" fillId="0" borderId="0" xfId="0" applyNumberFormat="1" applyAlignment="1">
      <alignment horizontal="center"/>
    </xf>
    <xf numFmtId="0" fontId="0" fillId="0" borderId="0" xfId="0" applyNumberFormat="1" applyAlignment="1">
      <alignment horizontal="center"/>
    </xf>
    <xf numFmtId="0" fontId="5" fillId="0" borderId="0" xfId="0" applyFont="1" applyAlignment="1">
      <alignment horizontal="center" vertical="center" wrapText="1"/>
    </xf>
    <xf numFmtId="0" fontId="16" fillId="0" borderId="0" xfId="0" applyFont="1" applyAlignment="1">
      <alignment horizontal="left" vertical="top" wrapText="1"/>
    </xf>
    <xf numFmtId="3" fontId="0" fillId="0" borderId="0" xfId="0" applyNumberFormat="1" applyAlignment="1">
      <alignment horizontal="center"/>
    </xf>
  </cellXfs>
  <cellStyles count="219">
    <cellStyle name="Comma" xfId="1" builtinId="3"/>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Good" xfId="11" builtinId="26"/>
    <cellStyle name="Hyperlink" xfId="3" builtinId="8" hidden="1"/>
    <cellStyle name="Hyperlink" xfId="5" builtinId="8" hidden="1"/>
    <cellStyle name="Hyperlink" xfId="7" builtinId="8" hidden="1"/>
    <cellStyle name="Hyperlink" xfId="9"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Neutral" xfId="142" builtinId="2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tabSelected="1" zoomScale="75" zoomScaleNormal="75" zoomScalePageLayoutView="75" workbookViewId="0">
      <pane xSplit="1" topLeftCell="D1" activePane="topRight" state="frozen"/>
      <selection pane="topRight" activeCell="S24" sqref="S24"/>
    </sheetView>
  </sheetViews>
  <sheetFormatPr baseColWidth="10" defaultRowHeight="15" x14ac:dyDescent="0"/>
  <cols>
    <col min="1" max="1" width="27.5" customWidth="1"/>
    <col min="2" max="2" width="14.5" customWidth="1"/>
    <col min="3" max="3" width="11" customWidth="1"/>
    <col min="4" max="4" width="11.1640625" customWidth="1"/>
    <col min="5" max="5" width="11" customWidth="1"/>
    <col min="6" max="6" width="12.33203125" customWidth="1"/>
    <col min="7" max="7" width="12.5" customWidth="1"/>
    <col min="8" max="8" width="13.83203125" customWidth="1"/>
    <col min="9" max="9" width="13.6640625" customWidth="1"/>
    <col min="10" max="10" width="13.1640625" customWidth="1"/>
    <col min="11" max="11" width="11.83203125" customWidth="1"/>
    <col min="12" max="13" width="11.33203125" customWidth="1"/>
    <col min="14" max="14" width="12" customWidth="1"/>
    <col min="15" max="17" width="11.33203125" customWidth="1"/>
    <col min="18" max="18" width="6.83203125" customWidth="1"/>
    <col min="19" max="19" width="15.1640625" customWidth="1"/>
    <col min="20" max="20" width="13.6640625" customWidth="1"/>
    <col min="21" max="21" width="16.1640625" customWidth="1"/>
    <col min="22" max="22" width="11.5" bestFit="1" customWidth="1"/>
    <col min="23" max="23" width="13" bestFit="1" customWidth="1"/>
  </cols>
  <sheetData>
    <row r="1" spans="1:23" s="2" customFormat="1" ht="45" customHeight="1">
      <c r="A1" s="14" t="s">
        <v>47</v>
      </c>
      <c r="B1" s="2" t="s">
        <v>2</v>
      </c>
      <c r="C1" s="45" t="s">
        <v>42</v>
      </c>
      <c r="D1" s="45"/>
      <c r="E1" s="45"/>
      <c r="F1" s="45"/>
      <c r="G1" s="34" t="s">
        <v>3</v>
      </c>
      <c r="H1" s="7" t="s">
        <v>10</v>
      </c>
      <c r="I1" s="7" t="s">
        <v>11</v>
      </c>
      <c r="J1" s="7" t="s">
        <v>12</v>
      </c>
      <c r="K1" s="2" t="s">
        <v>13</v>
      </c>
      <c r="L1" s="2" t="s">
        <v>14</v>
      </c>
      <c r="M1" s="2" t="s">
        <v>4</v>
      </c>
      <c r="N1" s="2" t="s">
        <v>27</v>
      </c>
      <c r="O1" s="2" t="s">
        <v>8</v>
      </c>
      <c r="P1" s="2" t="s">
        <v>31</v>
      </c>
      <c r="Q1" s="2" t="s">
        <v>37</v>
      </c>
      <c r="S1" s="21" t="s">
        <v>58</v>
      </c>
      <c r="T1" s="2" t="s">
        <v>60</v>
      </c>
      <c r="U1" s="2" t="s">
        <v>71</v>
      </c>
      <c r="V1" s="2" t="s">
        <v>59</v>
      </c>
      <c r="W1" s="33" t="s">
        <v>73</v>
      </c>
    </row>
    <row r="2" spans="1:23" s="5" customFormat="1" ht="58" customHeight="1">
      <c r="A2" s="6" t="s">
        <v>15</v>
      </c>
      <c r="B2" s="5" t="s">
        <v>32</v>
      </c>
      <c r="C2" s="46" t="s">
        <v>43</v>
      </c>
      <c r="D2" s="46"/>
      <c r="E2" s="46"/>
      <c r="F2" s="46"/>
      <c r="G2" s="5" t="s">
        <v>17</v>
      </c>
      <c r="H2" s="5" t="s">
        <v>18</v>
      </c>
      <c r="I2" s="5" t="s">
        <v>19</v>
      </c>
      <c r="J2" s="5" t="s">
        <v>20</v>
      </c>
      <c r="K2" s="5" t="s">
        <v>23</v>
      </c>
      <c r="L2" s="5" t="s">
        <v>24</v>
      </c>
      <c r="M2" s="5" t="s">
        <v>35</v>
      </c>
      <c r="N2" s="5" t="s">
        <v>16</v>
      </c>
      <c r="O2" s="5" t="s">
        <v>38</v>
      </c>
      <c r="P2" s="5" t="s">
        <v>52</v>
      </c>
      <c r="Q2" s="5" t="s">
        <v>40</v>
      </c>
      <c r="S2" s="26"/>
      <c r="U2" s="5" t="s">
        <v>72</v>
      </c>
    </row>
    <row r="3" spans="1:23" ht="22" customHeight="1">
      <c r="A3" s="1" t="s">
        <v>0</v>
      </c>
      <c r="B3" s="3" t="s">
        <v>5</v>
      </c>
      <c r="C3" s="30" t="s">
        <v>6</v>
      </c>
      <c r="D3" s="31" t="s">
        <v>41</v>
      </c>
      <c r="E3" s="30" t="s">
        <v>33</v>
      </c>
      <c r="F3" s="38" t="s">
        <v>61</v>
      </c>
      <c r="G3" s="38" t="s">
        <v>33</v>
      </c>
      <c r="H3" s="38" t="s">
        <v>49</v>
      </c>
      <c r="I3" s="38" t="s">
        <v>48</v>
      </c>
      <c r="J3" s="38" t="s">
        <v>49</v>
      </c>
      <c r="K3" s="11" t="s">
        <v>7</v>
      </c>
      <c r="L3" s="11" t="s">
        <v>7</v>
      </c>
      <c r="M3" s="11" t="s">
        <v>34</v>
      </c>
      <c r="N3" s="11" t="s">
        <v>34</v>
      </c>
      <c r="O3" s="11" t="s">
        <v>9</v>
      </c>
      <c r="P3" s="11" t="s">
        <v>9</v>
      </c>
      <c r="Q3" s="11" t="s">
        <v>9</v>
      </c>
      <c r="S3" s="27"/>
    </row>
    <row r="4" spans="1:23" ht="26" customHeight="1">
      <c r="A4" s="1" t="s">
        <v>50</v>
      </c>
      <c r="B4" s="9">
        <v>163448</v>
      </c>
      <c r="C4" s="9"/>
      <c r="D4" s="4">
        <v>6251</v>
      </c>
      <c r="E4" s="4"/>
      <c r="F4" s="4">
        <v>51332</v>
      </c>
      <c r="G4" s="9">
        <v>9079</v>
      </c>
      <c r="H4" s="9">
        <v>501602</v>
      </c>
      <c r="I4" s="9">
        <v>270275</v>
      </c>
      <c r="J4" s="9">
        <v>176043</v>
      </c>
      <c r="K4" s="4">
        <v>25295</v>
      </c>
      <c r="L4" s="9">
        <v>13899</v>
      </c>
      <c r="M4" s="9">
        <v>18266</v>
      </c>
      <c r="N4" s="9">
        <v>22043</v>
      </c>
      <c r="O4" s="9">
        <v>433</v>
      </c>
      <c r="P4" s="9">
        <v>42</v>
      </c>
      <c r="Q4" s="9">
        <v>176</v>
      </c>
      <c r="R4" s="4"/>
      <c r="S4" s="28">
        <f>SUM(B4:Q4)</f>
        <v>1258184</v>
      </c>
      <c r="T4" s="22">
        <f>SUM(Q4+P4+O4+N4+M4+L4+K4)</f>
        <v>80154</v>
      </c>
      <c r="U4" s="22">
        <f>SUM(H4:J4)</f>
        <v>947920</v>
      </c>
      <c r="V4" s="22">
        <f>B4</f>
        <v>163448</v>
      </c>
      <c r="W4" s="22">
        <f>SUM(F4:G4)</f>
        <v>60411</v>
      </c>
    </row>
    <row r="5" spans="1:23" ht="25" customHeight="1">
      <c r="A5" s="1" t="s">
        <v>44</v>
      </c>
      <c r="B5" s="12">
        <v>5467336</v>
      </c>
      <c r="C5" s="18"/>
      <c r="D5" s="19"/>
      <c r="E5" s="19"/>
      <c r="F5" s="19">
        <v>7499629</v>
      </c>
      <c r="G5" s="12">
        <v>8409894</v>
      </c>
      <c r="H5" s="12">
        <v>23385698</v>
      </c>
      <c r="I5" s="12">
        <v>22143237</v>
      </c>
      <c r="J5" s="12">
        <v>10138069</v>
      </c>
      <c r="K5" s="12">
        <v>1409943</v>
      </c>
      <c r="L5" s="12">
        <v>942491</v>
      </c>
      <c r="M5" s="12">
        <v>895399</v>
      </c>
      <c r="N5" s="12">
        <v>1169160</v>
      </c>
      <c r="O5" s="12">
        <v>23785</v>
      </c>
      <c r="P5" s="12">
        <v>0.1</v>
      </c>
      <c r="Q5" s="12">
        <f>Q4*Q6</f>
        <v>2816</v>
      </c>
      <c r="R5" s="12"/>
      <c r="S5" s="29">
        <f>SUM(B5:Q5)</f>
        <v>81487457.099999994</v>
      </c>
      <c r="T5" s="24">
        <f>SUM(Q5+P5+O5+N5+M5+L5+K5)</f>
        <v>4443594.0999999996</v>
      </c>
      <c r="U5" s="24">
        <f>SUM(H5:J5)-SUM(H8:J8)</f>
        <v>55512127.200000003</v>
      </c>
      <c r="V5" s="25">
        <f>B5</f>
        <v>5467336</v>
      </c>
      <c r="W5" s="25">
        <f>SUM(F5:G5)</f>
        <v>15909523</v>
      </c>
    </row>
    <row r="6" spans="1:23" ht="23" customHeight="1">
      <c r="A6" s="1" t="s">
        <v>51</v>
      </c>
      <c r="B6" s="15">
        <f t="shared" ref="B6" si="0">B5/B4</f>
        <v>33.450002447261511</v>
      </c>
      <c r="C6" s="47">
        <f>F5/F4</f>
        <v>146.10046364840645</v>
      </c>
      <c r="D6" s="48"/>
      <c r="E6" s="48"/>
      <c r="F6" s="48"/>
      <c r="G6" s="15" t="s">
        <v>68</v>
      </c>
      <c r="H6" s="15">
        <f t="shared" ref="H6:P6" si="1">H5/H4</f>
        <v>46.622019050960724</v>
      </c>
      <c r="I6" s="15">
        <f t="shared" si="1"/>
        <v>81.92854315049486</v>
      </c>
      <c r="J6" s="15">
        <f t="shared" si="1"/>
        <v>57.588594831944469</v>
      </c>
      <c r="K6" s="15">
        <f t="shared" si="1"/>
        <v>55.739988139948608</v>
      </c>
      <c r="L6" s="15">
        <f t="shared" si="1"/>
        <v>67.809986329951798</v>
      </c>
      <c r="M6" s="15">
        <f t="shared" si="1"/>
        <v>49.01998248111245</v>
      </c>
      <c r="N6" s="15">
        <f t="shared" si="1"/>
        <v>53.039967336569433</v>
      </c>
      <c r="O6" s="15">
        <f t="shared" si="1"/>
        <v>54.930715935334874</v>
      </c>
      <c r="P6" s="16">
        <f t="shared" si="1"/>
        <v>2.3809523809523812E-3</v>
      </c>
      <c r="Q6" s="16">
        <f>16</f>
        <v>16</v>
      </c>
      <c r="S6" s="29">
        <f>S5/S4</f>
        <v>64.765930181912978</v>
      </c>
      <c r="T6" s="23">
        <f>T5/T4</f>
        <v>55.438207700177152</v>
      </c>
      <c r="U6" s="23">
        <f>U5/U4</f>
        <v>58.56203814667905</v>
      </c>
      <c r="V6" s="24">
        <f>B6</f>
        <v>33.450002447261511</v>
      </c>
      <c r="W6" s="24"/>
    </row>
    <row r="7" spans="1:23" ht="21" customHeight="1">
      <c r="A7" s="1" t="s">
        <v>28</v>
      </c>
      <c r="B7" s="10"/>
      <c r="C7" s="3"/>
      <c r="F7" s="3">
        <v>78.099999999999994</v>
      </c>
      <c r="G7" s="3">
        <v>144</v>
      </c>
      <c r="H7" s="3">
        <v>64.900000000000006</v>
      </c>
      <c r="I7" s="3">
        <v>38.4</v>
      </c>
      <c r="J7" s="3">
        <v>20.8</v>
      </c>
      <c r="K7" s="3">
        <v>0</v>
      </c>
      <c r="L7" s="3">
        <v>0.4</v>
      </c>
      <c r="M7" s="3">
        <v>3</v>
      </c>
      <c r="N7" s="3">
        <v>3</v>
      </c>
      <c r="O7" s="3">
        <v>0</v>
      </c>
      <c r="P7" s="3">
        <v>0</v>
      </c>
      <c r="Q7" s="3">
        <v>0</v>
      </c>
      <c r="S7" s="35">
        <f>SUM(B7:Q7)</f>
        <v>352.59999999999997</v>
      </c>
      <c r="T7" s="22">
        <f>SUM(Q7+P7+O7+N7+M7+L7+K7)</f>
        <v>6.4</v>
      </c>
      <c r="U7" s="22">
        <f>SUM(H7+I7+J7)</f>
        <v>124.10000000000001</v>
      </c>
      <c r="V7" s="22"/>
      <c r="W7" s="36">
        <f>SUM(F7:G7)</f>
        <v>222.1</v>
      </c>
    </row>
    <row r="8" spans="1:23" ht="20" customHeight="1">
      <c r="A8" s="1" t="s">
        <v>70</v>
      </c>
      <c r="B8" s="40"/>
      <c r="C8" s="41"/>
      <c r="D8" s="41"/>
      <c r="E8" s="41"/>
      <c r="F8" s="41">
        <f>F7*$B$9*12*1000</f>
        <v>97468.799999999988</v>
      </c>
      <c r="G8" s="41">
        <f>G7*$B$9*12*1000</f>
        <v>179712</v>
      </c>
      <c r="H8" s="41">
        <f>H7*$B$9*12*1000</f>
        <v>80995.199999999997</v>
      </c>
      <c r="I8" s="41">
        <f>I7*$B$9*12*1000</f>
        <v>47923.199999999997</v>
      </c>
      <c r="J8" s="41">
        <f>J7*$B$9*12*1000</f>
        <v>25958.399999999998</v>
      </c>
      <c r="K8" s="41">
        <f t="shared" ref="K8:Q8" si="2">K7*$B$9*30*1000</f>
        <v>0</v>
      </c>
      <c r="L8" s="41">
        <f t="shared" si="2"/>
        <v>1248</v>
      </c>
      <c r="M8" s="41">
        <f t="shared" si="2"/>
        <v>9360</v>
      </c>
      <c r="N8" s="41">
        <f t="shared" si="2"/>
        <v>9360</v>
      </c>
      <c r="O8" s="41">
        <f t="shared" si="2"/>
        <v>0</v>
      </c>
      <c r="P8" s="41">
        <f t="shared" si="2"/>
        <v>0</v>
      </c>
      <c r="Q8" s="41">
        <f t="shared" si="2"/>
        <v>0</v>
      </c>
      <c r="S8" s="41"/>
      <c r="T8" s="41"/>
      <c r="U8" s="41"/>
      <c r="W8" s="43"/>
    </row>
    <row r="9" spans="1:23" ht="21" customHeight="1">
      <c r="A9" s="1" t="s">
        <v>76</v>
      </c>
      <c r="B9" s="42">
        <v>0.104</v>
      </c>
      <c r="C9" s="3"/>
      <c r="F9" s="3"/>
      <c r="G9" s="39">
        <v>4.5599999999999996</v>
      </c>
      <c r="H9" s="39">
        <v>13.77</v>
      </c>
      <c r="I9" s="39">
        <v>32.090000000000003</v>
      </c>
      <c r="J9" s="39">
        <v>24.43</v>
      </c>
      <c r="K9" s="3"/>
      <c r="L9" s="3"/>
      <c r="M9" s="3"/>
      <c r="N9" s="3"/>
      <c r="O9" s="3"/>
      <c r="P9" s="3"/>
      <c r="Q9" s="3"/>
      <c r="S9" s="35"/>
      <c r="T9" s="22"/>
      <c r="U9" s="22"/>
      <c r="V9" s="22"/>
      <c r="W9" s="43"/>
    </row>
    <row r="10" spans="1:23" ht="22" customHeight="1">
      <c r="A10" s="1" t="s">
        <v>62</v>
      </c>
      <c r="B10" s="32">
        <f>(2249*B4)/2000</f>
        <v>183797.27600000001</v>
      </c>
      <c r="C10" s="3"/>
      <c r="D10" s="3">
        <v>0</v>
      </c>
      <c r="E10" s="3"/>
      <c r="F10" s="51">
        <v>43427</v>
      </c>
      <c r="G10" s="9">
        <f>(1135*G4)/2000</f>
        <v>5152.3325000000004</v>
      </c>
      <c r="H10" s="9">
        <f>(2249*H4)/2000</f>
        <v>564051.44900000002</v>
      </c>
      <c r="I10" s="9">
        <f>(2249*I4)/2000</f>
        <v>303924.23749999999</v>
      </c>
      <c r="J10" s="9">
        <f>(2249*J4)/2000</f>
        <v>197960.3535</v>
      </c>
      <c r="K10" s="3">
        <v>0</v>
      </c>
      <c r="L10" s="3">
        <v>0</v>
      </c>
      <c r="M10" s="3">
        <v>0</v>
      </c>
      <c r="N10" s="3">
        <v>0</v>
      </c>
      <c r="O10" s="3">
        <v>0</v>
      </c>
      <c r="P10" s="3">
        <v>0</v>
      </c>
      <c r="Q10" s="3">
        <v>0</v>
      </c>
      <c r="S10" s="35">
        <f>SUM(B10:Q10)</f>
        <v>1298312.6484999999</v>
      </c>
      <c r="T10" s="36">
        <f>SUM(Q10+P10+O10+N10+M10+L10+K10)</f>
        <v>0</v>
      </c>
      <c r="U10" s="22">
        <f>SUM(F10:J10)</f>
        <v>1114515.3725000001</v>
      </c>
      <c r="V10" s="22">
        <f>B10</f>
        <v>183797.27600000001</v>
      </c>
      <c r="W10" s="44"/>
    </row>
    <row r="11" spans="1:23" ht="41" customHeight="1">
      <c r="A11" s="1" t="s">
        <v>1</v>
      </c>
      <c r="B11" s="7"/>
      <c r="C11" s="49" t="s">
        <v>54</v>
      </c>
      <c r="D11" s="49"/>
      <c r="E11" s="49"/>
      <c r="F11" s="49"/>
      <c r="G11" s="8" t="s">
        <v>55</v>
      </c>
      <c r="H11" s="2" t="s">
        <v>30</v>
      </c>
      <c r="I11" s="2" t="s">
        <v>64</v>
      </c>
      <c r="J11" s="7" t="s">
        <v>21</v>
      </c>
      <c r="K11" s="2" t="s">
        <v>25</v>
      </c>
      <c r="L11" s="2" t="s">
        <v>36</v>
      </c>
      <c r="M11" s="8" t="s">
        <v>29</v>
      </c>
      <c r="N11" s="7" t="s">
        <v>26</v>
      </c>
      <c r="O11" s="2" t="s">
        <v>8</v>
      </c>
      <c r="P11" s="7" t="s">
        <v>39</v>
      </c>
      <c r="Q11" s="20" t="s">
        <v>56</v>
      </c>
    </row>
    <row r="12" spans="1:23" ht="22" customHeight="1">
      <c r="A12" s="1" t="s">
        <v>63</v>
      </c>
      <c r="B12" s="13">
        <v>0</v>
      </c>
      <c r="C12" s="13"/>
      <c r="D12" s="12">
        <v>-124082</v>
      </c>
      <c r="E12" s="12"/>
      <c r="F12" s="13">
        <f>F5-(F4*$B$6)-(F8)</f>
        <v>5685104.6743771723</v>
      </c>
      <c r="G12" s="13">
        <f>G5-(G4*$B$6)-(G8)</f>
        <v>7926489.4277813127</v>
      </c>
      <c r="H12" s="13">
        <f>H5-(H4*$B$6)-(H8)</f>
        <v>6526114.672448731</v>
      </c>
      <c r="I12" s="13">
        <f>I5-(I4*$B$6)-(I8)</f>
        <v>13054614.388566395</v>
      </c>
      <c r="J12" s="13">
        <f>J5-(J4*$B$6)-(J8)</f>
        <v>4223471.8191767419</v>
      </c>
      <c r="K12" s="13">
        <v>964245</v>
      </c>
      <c r="L12" s="13">
        <v>468535</v>
      </c>
      <c r="M12" s="13">
        <v>-160558</v>
      </c>
      <c r="N12" s="13">
        <v>-105145</v>
      </c>
      <c r="O12" s="13">
        <v>1070</v>
      </c>
      <c r="P12" s="13"/>
    </row>
    <row r="13" spans="1:23" ht="44" customHeight="1">
      <c r="A13" s="1" t="s">
        <v>22</v>
      </c>
      <c r="G13" s="50" t="s">
        <v>65</v>
      </c>
    </row>
    <row r="14" spans="1:23" ht="8" customHeight="1">
      <c r="A14" s="17"/>
      <c r="B14" s="17"/>
      <c r="C14" s="17"/>
      <c r="D14" s="17"/>
      <c r="E14" s="17"/>
      <c r="F14" s="17"/>
      <c r="G14" s="50"/>
      <c r="H14" s="17"/>
      <c r="I14" s="17"/>
      <c r="J14" s="17"/>
      <c r="K14" s="17"/>
      <c r="L14" s="17"/>
      <c r="M14" s="17"/>
      <c r="N14" s="17"/>
      <c r="O14" s="17"/>
      <c r="P14" s="17"/>
      <c r="Q14" s="17"/>
    </row>
    <row r="15" spans="1:23">
      <c r="A15" s="1" t="s">
        <v>57</v>
      </c>
      <c r="G15" s="50"/>
    </row>
    <row r="16" spans="1:23">
      <c r="A16" s="1" t="s">
        <v>69</v>
      </c>
    </row>
    <row r="17" spans="1:8">
      <c r="A17" t="s">
        <v>53</v>
      </c>
    </row>
    <row r="18" spans="1:8">
      <c r="A18" s="1" t="s">
        <v>77</v>
      </c>
      <c r="G18" s="11"/>
      <c r="H18" t="s">
        <v>67</v>
      </c>
    </row>
    <row r="19" spans="1:8">
      <c r="B19" t="s">
        <v>45</v>
      </c>
      <c r="C19" t="s">
        <v>46</v>
      </c>
      <c r="G19" s="37"/>
      <c r="H19" t="s">
        <v>66</v>
      </c>
    </row>
    <row r="20" spans="1:8">
      <c r="A20" t="s">
        <v>74</v>
      </c>
      <c r="B20">
        <v>2249</v>
      </c>
      <c r="C20">
        <v>1135</v>
      </c>
    </row>
    <row r="21" spans="1:8">
      <c r="A21" t="s">
        <v>75</v>
      </c>
    </row>
  </sheetData>
  <mergeCells count="5">
    <mergeCell ref="C1:F1"/>
    <mergeCell ref="C2:F2"/>
    <mergeCell ref="C6:F6"/>
    <mergeCell ref="C11:F11"/>
    <mergeCell ref="G13:G15"/>
  </mergeCells>
  <phoneticPr fontId="9"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2015-05-26T21:02:21Z</cp:lastPrinted>
  <dcterms:created xsi:type="dcterms:W3CDTF">2014-07-11T03:06:15Z</dcterms:created>
  <dcterms:modified xsi:type="dcterms:W3CDTF">2015-08-04T21:04:20Z</dcterms:modified>
</cp:coreProperties>
</file>